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Sheet1!$A$1:$L$47</definedName>
  </definedNames>
  <calcPr calcId="152511"/>
</workbook>
</file>

<file path=xl/calcChain.xml><?xml version="1.0" encoding="utf-8"?>
<calcChain xmlns="http://schemas.openxmlformats.org/spreadsheetml/2006/main">
  <c r="A34" i="1" l="1"/>
  <c r="I34" i="1" l="1"/>
  <c r="I32" i="1"/>
  <c r="E43" i="1"/>
  <c r="A39" i="1" l="1"/>
  <c r="G34" i="1" l="1"/>
  <c r="K34" i="1" s="1"/>
  <c r="C41" i="1"/>
  <c r="I39" i="1"/>
  <c r="E39" i="1"/>
  <c r="C37" i="1"/>
  <c r="I37" i="1"/>
  <c r="A37" i="1"/>
  <c r="G37" i="1" s="1"/>
  <c r="C36" i="1"/>
  <c r="I36" i="1"/>
  <c r="A36" i="1"/>
  <c r="A32" i="1"/>
  <c r="G32" i="1" s="1"/>
  <c r="K32" i="1" s="1"/>
  <c r="E26" i="1"/>
  <c r="E27" i="1"/>
  <c r="E28" i="1"/>
  <c r="C29" i="1"/>
  <c r="A41" i="1" s="1"/>
  <c r="G41" i="1" s="1"/>
  <c r="E25" i="1"/>
  <c r="G36" i="1" l="1"/>
  <c r="K39" i="1"/>
  <c r="K37" i="1"/>
  <c r="K36" i="1"/>
  <c r="C43" i="1"/>
  <c r="K43" i="1" s="1"/>
  <c r="C45" i="1"/>
  <c r="C46" i="1"/>
  <c r="E29" i="1"/>
  <c r="E46" i="1" l="1"/>
  <c r="E45" i="1"/>
  <c r="G45" i="1" s="1"/>
  <c r="G46" i="1"/>
  <c r="G47" i="1" l="1"/>
</calcChain>
</file>

<file path=xl/sharedStrings.xml><?xml version="1.0" encoding="utf-8"?>
<sst xmlns="http://schemas.openxmlformats.org/spreadsheetml/2006/main" count="132" uniqueCount="83">
  <si>
    <t>Cape Cod Commission 91-001, April 1992</t>
  </si>
  <si>
    <t>Nitrogen Loading Calculations</t>
  </si>
  <si>
    <t>Target Concentration</t>
  </si>
  <si>
    <t>ppm</t>
  </si>
  <si>
    <t>Wastewater</t>
  </si>
  <si>
    <t>Residential</t>
  </si>
  <si>
    <t>Nonresidential</t>
  </si>
  <si>
    <t>Occupancy</t>
  </si>
  <si>
    <t>Range</t>
  </si>
  <si>
    <t>people per bedroom</t>
  </si>
  <si>
    <t>Lawns</t>
  </si>
  <si>
    <t>S.F.</t>
  </si>
  <si>
    <t>Area</t>
  </si>
  <si>
    <t>Fertilizer</t>
  </si>
  <si>
    <t>lbs./1000 S.F.</t>
  </si>
  <si>
    <t>Leaching</t>
  </si>
  <si>
    <t>Recharge</t>
  </si>
  <si>
    <t>Off impervious surfaces</t>
  </si>
  <si>
    <t>in/year</t>
  </si>
  <si>
    <t>Concentrations</t>
  </si>
  <si>
    <t>Road Runoff</t>
  </si>
  <si>
    <t>Roof Runoff</t>
  </si>
  <si>
    <t>Natural Areas</t>
  </si>
  <si>
    <t>Brewster</t>
  </si>
  <si>
    <t>Residential Nitrogen Loading</t>
  </si>
  <si>
    <t>people per unit</t>
  </si>
  <si>
    <t>Homesize</t>
  </si>
  <si>
    <t>Bedrooms</t>
  </si>
  <si>
    <t>Lot Size</t>
  </si>
  <si>
    <t>acre</t>
  </si>
  <si>
    <t>Impervious Roof</t>
  </si>
  <si>
    <t>Impervious Paving</t>
  </si>
  <si>
    <t>Lawn Area</t>
  </si>
  <si>
    <t>Pervious Area</t>
  </si>
  <si>
    <t>bedrooms</t>
  </si>
  <si>
    <t>gpd/bedroom</t>
  </si>
  <si>
    <t>L/gal</t>
  </si>
  <si>
    <t>mg/L</t>
  </si>
  <si>
    <t>mg/d</t>
  </si>
  <si>
    <t>Actual Occupancy</t>
  </si>
  <si>
    <t>gpd/person</t>
  </si>
  <si>
    <t>Impervious Surfaces</t>
  </si>
  <si>
    <t>roof</t>
  </si>
  <si>
    <t>ft/year</t>
  </si>
  <si>
    <t>L/CF</t>
  </si>
  <si>
    <t>ft/day</t>
  </si>
  <si>
    <t>road</t>
  </si>
  <si>
    <t>Lawn</t>
  </si>
  <si>
    <t>lawn</t>
  </si>
  <si>
    <t>mg/SF / day</t>
  </si>
  <si>
    <t>Natural</t>
  </si>
  <si>
    <t>natural</t>
  </si>
  <si>
    <t>Town</t>
  </si>
  <si>
    <t>Summary</t>
  </si>
  <si>
    <t>L/d</t>
  </si>
  <si>
    <t>Title 5 Flow</t>
  </si>
  <si>
    <t>Average nitrogen load</t>
  </si>
  <si>
    <t>Background</t>
  </si>
  <si>
    <t>Runoff</t>
  </si>
  <si>
    <t>Treated?</t>
  </si>
  <si>
    <t>(Yes or No)</t>
  </si>
  <si>
    <t>Instructions</t>
  </si>
  <si>
    <t>These calculations have been modified for the Brewster Zoning Bylaw</t>
  </si>
  <si>
    <t>These are the assumed concentrations of total nitrogen in the wastewater</t>
  </si>
  <si>
    <t>These are the varied occupancy rates between 2.5 and full Title 5 occupancy</t>
  </si>
  <si>
    <t>Under the Cape Cod Commission, there is a presumed 5,000 S.F. of fertilized lawn.  There is nothing in the Bylaw that says to vary.</t>
  </si>
  <si>
    <t>Under the Bylaw, there is a presumption of 2 lb./1000 S.F.  Under the CCC, it is presumed at 3 lbs./1000 S.F.</t>
  </si>
  <si>
    <t>Assumed leaching under the CCC.</t>
  </si>
  <si>
    <t>Under the CCC, there is no assumption of background Nitrogen.  Under the Bylaw, there's 0.05 ppm.</t>
  </si>
  <si>
    <t>Recharge from the CCC.</t>
  </si>
  <si>
    <t>Concentrations in the CCC and the Bylaw match.</t>
  </si>
  <si>
    <t>Natural recharge in Brewster from the CCC.</t>
  </si>
  <si>
    <t>Here is where you actually input numbers.</t>
  </si>
  <si>
    <t>If you were working in another Town, you would find the reacharge of that Town.</t>
  </si>
  <si>
    <t>Input the number of bedrooms and Yes/No if the effluent is treated (35 ppm vs 19 ppm)</t>
  </si>
  <si>
    <t>Input the lot size in S.F.</t>
  </si>
  <si>
    <t>Input the impervious roof in S.F.</t>
  </si>
  <si>
    <t>Input the driveway / coverage in S.F.</t>
  </si>
  <si>
    <t>If you want to modify the lawn area, this is where you can input it in S.F.</t>
  </si>
  <si>
    <t>This is calculated.</t>
  </si>
  <si>
    <t>All of these numbers come out of the above inputs.</t>
  </si>
  <si>
    <t>This is the final average.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</si>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</sst>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9" fontId="0" fillId="0" borderId="0" xfId="0" applyNumberFormat="1"/>
    <xf numFmtId="164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0" fontId="0" fillId="2" borderId="0" xfId="0" applyFill="1"/>
    <xf numFmtId="0" fontId="2" fillId="0" borderId="0" xfId="0" applyFont="1"/>
    <xf numFmtId="165" fontId="0" fillId="0" borderId="0" xfId="0" applyNumberFormat="1"/>
    <xf numFmtId="165" fontId="1" fillId="0" borderId="0" xfId="0" applyNumberFormat="1" applyFont="1"/>
    <xf numFmtId="0" fontId="3" fillId="0" borderId="0" xfId="0" applyFont="1"/>
    <xf numFmtId="2" fontId="1" fillId="0" borderId="0" xfId="0" applyNumberFormat="1" applyFont="1"/>
    <xf numFmtId="0" fontId="1" fillId="0" borderId="0" xfId="0" applyFont="1"/>
    <xf numFmtId="2" fontId="5" fillId="0" borderId="0" xfId="0" applyNumberFormat="1" applyFont="1"/>
    <xf numFmtId="0" fontId="5" fillId="0" borderId="0" xfId="0" applyFont="1"/>
    <xf numFmtId="2" fontId="0" fillId="0" borderId="0" xfId="0" applyNumberFormat="1"/>
    <xf numFmtId="165" fontId="2" fillId="0" borderId="0" xfId="0" applyNumberFormat="1" applyFont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C9" sqref="C9"/>
    </sheetView>
  </sheetViews>
  <sheetFormatPr defaultRowHeight="15" x14ac:dyDescent="0.25"/>
  <sheetData>
    <row r="1" spans="1:13" x14ac:dyDescent="0.25">
      <c r="A1" t="s">
        <v>0</v>
      </c>
      <c r="M1" t="s">
        <v>61</v>
      </c>
    </row>
    <row r="2" spans="1:13" x14ac:dyDescent="0.25">
      <c r="A2" t="s">
        <v>1</v>
      </c>
      <c r="M2" t="s">
        <v>62</v>
      </c>
    </row>
    <row r="3" spans="1:13" x14ac:dyDescent="0.25">
      <c r="A3" t="s">
        <v>2</v>
      </c>
      <c r="E3">
        <v>5</v>
      </c>
      <c r="F3" t="s">
        <v>3</v>
      </c>
    </row>
    <row r="4" spans="1:13" x14ac:dyDescent="0.25">
      <c r="A4" t="s">
        <v>4</v>
      </c>
    </row>
    <row r="5" spans="1:13" x14ac:dyDescent="0.25">
      <c r="B5" t="s">
        <v>5</v>
      </c>
      <c r="E5">
        <v>35</v>
      </c>
      <c r="F5" t="s">
        <v>3</v>
      </c>
      <c r="M5" t="s">
        <v>63</v>
      </c>
    </row>
    <row r="6" spans="1:13" x14ac:dyDescent="0.25">
      <c r="B6" t="s">
        <v>6</v>
      </c>
      <c r="E6">
        <v>35</v>
      </c>
      <c r="F6" t="s">
        <v>3</v>
      </c>
      <c r="M6" t="s">
        <v>63</v>
      </c>
    </row>
    <row r="7" spans="1:13" x14ac:dyDescent="0.25">
      <c r="A7" t="s">
        <v>7</v>
      </c>
    </row>
    <row r="8" spans="1:13" x14ac:dyDescent="0.25">
      <c r="B8" t="s">
        <v>8</v>
      </c>
      <c r="C8">
        <v>3</v>
      </c>
      <c r="D8" t="s">
        <v>25</v>
      </c>
      <c r="E8">
        <v>2</v>
      </c>
      <c r="F8" t="s">
        <v>9</v>
      </c>
      <c r="M8" t="s">
        <v>64</v>
      </c>
    </row>
    <row r="9" spans="1:13" x14ac:dyDescent="0.25">
      <c r="A9" t="s">
        <v>10</v>
      </c>
    </row>
    <row r="10" spans="1:13" x14ac:dyDescent="0.25">
      <c r="B10" t="s">
        <v>12</v>
      </c>
      <c r="E10" s="3">
        <v>5000</v>
      </c>
      <c r="F10" t="s">
        <v>11</v>
      </c>
      <c r="M10" t="s">
        <v>65</v>
      </c>
    </row>
    <row r="11" spans="1:13" x14ac:dyDescent="0.25">
      <c r="B11" t="s">
        <v>13</v>
      </c>
      <c r="E11">
        <v>2</v>
      </c>
      <c r="F11" t="s">
        <v>14</v>
      </c>
      <c r="M11" t="s">
        <v>66</v>
      </c>
    </row>
    <row r="12" spans="1:13" x14ac:dyDescent="0.25">
      <c r="B12" t="s">
        <v>15</v>
      </c>
      <c r="E12" s="1">
        <v>0.25</v>
      </c>
      <c r="M12" t="s">
        <v>67</v>
      </c>
    </row>
    <row r="13" spans="1:13" x14ac:dyDescent="0.25">
      <c r="A13" t="s">
        <v>57</v>
      </c>
      <c r="E13" s="14">
        <v>0.05</v>
      </c>
      <c r="F13" t="s">
        <v>3</v>
      </c>
      <c r="M13" t="s">
        <v>68</v>
      </c>
    </row>
    <row r="14" spans="1:13" x14ac:dyDescent="0.25">
      <c r="A14" t="s">
        <v>16</v>
      </c>
    </row>
    <row r="15" spans="1:13" x14ac:dyDescent="0.25">
      <c r="B15" t="s">
        <v>17</v>
      </c>
      <c r="E15">
        <v>40</v>
      </c>
      <c r="F15" t="s">
        <v>18</v>
      </c>
      <c r="M15" t="s">
        <v>69</v>
      </c>
    </row>
    <row r="16" spans="1:13" x14ac:dyDescent="0.25">
      <c r="B16" t="s">
        <v>19</v>
      </c>
    </row>
    <row r="17" spans="1:13" x14ac:dyDescent="0.25">
      <c r="C17" t="s">
        <v>20</v>
      </c>
      <c r="E17">
        <v>1.5</v>
      </c>
      <c r="F17" t="s">
        <v>3</v>
      </c>
      <c r="M17" t="s">
        <v>70</v>
      </c>
    </row>
    <row r="18" spans="1:13" x14ac:dyDescent="0.25">
      <c r="C18" t="s">
        <v>21</v>
      </c>
      <c r="E18">
        <v>0.75</v>
      </c>
      <c r="F18" t="s">
        <v>3</v>
      </c>
      <c r="M18" t="s">
        <v>70</v>
      </c>
    </row>
    <row r="19" spans="1:13" x14ac:dyDescent="0.25">
      <c r="B19" t="s">
        <v>22</v>
      </c>
    </row>
    <row r="20" spans="1:13" x14ac:dyDescent="0.25">
      <c r="C20" t="s">
        <v>23</v>
      </c>
      <c r="E20">
        <v>17</v>
      </c>
      <c r="F20" t="s">
        <v>18</v>
      </c>
      <c r="M20" t="s">
        <v>71</v>
      </c>
    </row>
    <row r="22" spans="1:13" x14ac:dyDescent="0.25">
      <c r="A22" t="s">
        <v>24</v>
      </c>
      <c r="M22" t="s">
        <v>72</v>
      </c>
    </row>
    <row r="23" spans="1:13" x14ac:dyDescent="0.25">
      <c r="A23" s="16" t="s">
        <v>52</v>
      </c>
      <c r="C23" t="s">
        <v>23</v>
      </c>
      <c r="E23">
        <v>17</v>
      </c>
      <c r="F23" t="s">
        <v>18</v>
      </c>
      <c r="M23" t="s">
        <v>73</v>
      </c>
    </row>
    <row r="24" spans="1:13" x14ac:dyDescent="0.25">
      <c r="A24" t="s">
        <v>26</v>
      </c>
      <c r="E24" s="5">
        <v>5</v>
      </c>
      <c r="F24" t="s">
        <v>27</v>
      </c>
      <c r="H24" t="s">
        <v>59</v>
      </c>
      <c r="I24" s="5" t="s">
        <v>82</v>
      </c>
      <c r="J24" t="s">
        <v>60</v>
      </c>
      <c r="M24" t="s">
        <v>74</v>
      </c>
    </row>
    <row r="25" spans="1:13" x14ac:dyDescent="0.25">
      <c r="A25" t="s">
        <v>28</v>
      </c>
      <c r="C25" s="4">
        <v>33100</v>
      </c>
      <c r="D25" t="s">
        <v>11</v>
      </c>
      <c r="E25" s="2">
        <f>C25/43560</f>
        <v>0.75987144168962351</v>
      </c>
      <c r="F25" t="s">
        <v>29</v>
      </c>
      <c r="M25" t="s">
        <v>75</v>
      </c>
    </row>
    <row r="26" spans="1:13" x14ac:dyDescent="0.25">
      <c r="A26" t="s">
        <v>30</v>
      </c>
      <c r="C26" s="4">
        <v>2500</v>
      </c>
      <c r="D26" t="s">
        <v>11</v>
      </c>
      <c r="E26" s="2">
        <f t="shared" ref="E26:E29" si="0">C26/43560</f>
        <v>5.73921028466483E-2</v>
      </c>
      <c r="F26" t="s">
        <v>29</v>
      </c>
      <c r="M26" t="s">
        <v>76</v>
      </c>
    </row>
    <row r="27" spans="1:13" x14ac:dyDescent="0.25">
      <c r="A27" t="s">
        <v>31</v>
      </c>
      <c r="C27" s="4">
        <v>3000</v>
      </c>
      <c r="D27" t="s">
        <v>11</v>
      </c>
      <c r="E27" s="2">
        <f t="shared" si="0"/>
        <v>6.8870523415977963E-2</v>
      </c>
      <c r="F27" t="s">
        <v>29</v>
      </c>
      <c r="M27" t="s">
        <v>77</v>
      </c>
    </row>
    <row r="28" spans="1:13" x14ac:dyDescent="0.25">
      <c r="A28" t="s">
        <v>32</v>
      </c>
      <c r="C28" s="4">
        <v>5000</v>
      </c>
      <c r="D28" t="s">
        <v>11</v>
      </c>
      <c r="E28" s="2">
        <f t="shared" si="0"/>
        <v>0.1147842056932966</v>
      </c>
      <c r="F28" t="s">
        <v>29</v>
      </c>
      <c r="M28" t="s">
        <v>78</v>
      </c>
    </row>
    <row r="29" spans="1:13" x14ac:dyDescent="0.25">
      <c r="A29" t="s">
        <v>33</v>
      </c>
      <c r="C29" s="3">
        <f>C25-C26-C27</f>
        <v>27600</v>
      </c>
      <c r="D29" t="s">
        <v>11</v>
      </c>
      <c r="E29" s="2">
        <f t="shared" si="0"/>
        <v>0.63360881542699721</v>
      </c>
      <c r="F29" t="s">
        <v>29</v>
      </c>
      <c r="M29" t="s">
        <v>79</v>
      </c>
    </row>
    <row r="31" spans="1:13" x14ac:dyDescent="0.25">
      <c r="A31" t="s">
        <v>55</v>
      </c>
      <c r="H31" s="6"/>
      <c r="M31" t="s">
        <v>80</v>
      </c>
    </row>
    <row r="32" spans="1:13" x14ac:dyDescent="0.25">
      <c r="A32">
        <f>E24</f>
        <v>5</v>
      </c>
      <c r="B32" s="6" t="s">
        <v>34</v>
      </c>
      <c r="C32">
        <v>110</v>
      </c>
      <c r="D32" s="6" t="s">
        <v>35</v>
      </c>
      <c r="E32">
        <v>3.7850000000000001</v>
      </c>
      <c r="F32" s="6" t="s">
        <v>36</v>
      </c>
      <c r="G32" s="8">
        <f>A32*C32*E32</f>
        <v>2081.75</v>
      </c>
      <c r="H32" s="9" t="s">
        <v>54</v>
      </c>
      <c r="I32">
        <f>IF(I24="No",35,IF(I24="Yes",19,"Yes or No"))</f>
        <v>35</v>
      </c>
      <c r="J32" s="6" t="s">
        <v>37</v>
      </c>
      <c r="K32" s="8">
        <f>G32*I32</f>
        <v>72861.25</v>
      </c>
      <c r="L32" s="9" t="s">
        <v>38</v>
      </c>
    </row>
    <row r="33" spans="1:13" x14ac:dyDescent="0.25">
      <c r="A33" t="s">
        <v>39</v>
      </c>
    </row>
    <row r="34" spans="1:13" x14ac:dyDescent="0.25">
      <c r="A34">
        <f>C8</f>
        <v>3</v>
      </c>
      <c r="B34" s="6" t="s">
        <v>25</v>
      </c>
      <c r="C34">
        <v>55</v>
      </c>
      <c r="D34" s="6" t="s">
        <v>40</v>
      </c>
      <c r="E34">
        <v>3.7850000000000001</v>
      </c>
      <c r="F34" s="6" t="s">
        <v>36</v>
      </c>
      <c r="G34" s="8">
        <f>A34*C34*E34</f>
        <v>624.52499999999998</v>
      </c>
      <c r="H34" s="9" t="s">
        <v>54</v>
      </c>
      <c r="I34">
        <f>IF(I24="No",35,IF(I24="Yes",19,"Yes or No"))</f>
        <v>35</v>
      </c>
      <c r="J34" s="6" t="s">
        <v>37</v>
      </c>
      <c r="K34" s="8">
        <f>G34*I34</f>
        <v>21858.375</v>
      </c>
      <c r="L34" s="9" t="s">
        <v>38</v>
      </c>
    </row>
    <row r="35" spans="1:13" x14ac:dyDescent="0.25">
      <c r="A35" t="s">
        <v>41</v>
      </c>
    </row>
    <row r="36" spans="1:13" x14ac:dyDescent="0.25">
      <c r="A36" s="3">
        <f>C26</f>
        <v>2500</v>
      </c>
      <c r="B36" s="6" t="s">
        <v>42</v>
      </c>
      <c r="C36">
        <f>E15/12/365</f>
        <v>9.1324200913242021E-3</v>
      </c>
      <c r="D36" s="6" t="s">
        <v>45</v>
      </c>
      <c r="E36">
        <v>28.32</v>
      </c>
      <c r="F36" s="6" t="s">
        <v>44</v>
      </c>
      <c r="G36" s="8">
        <f>A36*C36*E36</f>
        <v>646.57534246575358</v>
      </c>
      <c r="H36" s="9" t="s">
        <v>54</v>
      </c>
      <c r="I36">
        <f>E18</f>
        <v>0.75</v>
      </c>
      <c r="J36" s="6" t="s">
        <v>37</v>
      </c>
      <c r="K36" s="8">
        <f>G36*I36</f>
        <v>484.93150684931516</v>
      </c>
      <c r="L36" s="9" t="s">
        <v>38</v>
      </c>
    </row>
    <row r="37" spans="1:13" x14ac:dyDescent="0.25">
      <c r="A37" s="3">
        <f>C27</f>
        <v>3000</v>
      </c>
      <c r="B37" s="6" t="s">
        <v>46</v>
      </c>
      <c r="C37">
        <f>E15/12/365</f>
        <v>9.1324200913242021E-3</v>
      </c>
      <c r="D37" s="6" t="s">
        <v>45</v>
      </c>
      <c r="E37">
        <v>28.32</v>
      </c>
      <c r="F37" s="6" t="s">
        <v>44</v>
      </c>
      <c r="G37" s="8">
        <f>A37*C37*E37</f>
        <v>775.89041095890423</v>
      </c>
      <c r="H37" s="9" t="s">
        <v>54</v>
      </c>
      <c r="I37">
        <f>E17</f>
        <v>1.5</v>
      </c>
      <c r="J37" s="6" t="s">
        <v>37</v>
      </c>
      <c r="K37" s="8">
        <f>G37*I37</f>
        <v>1163.8356164383563</v>
      </c>
      <c r="L37" s="9" t="s">
        <v>38</v>
      </c>
    </row>
    <row r="38" spans="1:13" x14ac:dyDescent="0.25">
      <c r="A38" t="s">
        <v>47</v>
      </c>
    </row>
    <row r="39" spans="1:13" x14ac:dyDescent="0.25">
      <c r="A39" s="3">
        <f>C28</f>
        <v>5000</v>
      </c>
      <c r="B39" s="6" t="s">
        <v>48</v>
      </c>
      <c r="E39" s="1">
        <f>E12</f>
        <v>0.25</v>
      </c>
      <c r="F39" s="6" t="s">
        <v>15</v>
      </c>
      <c r="I39">
        <f>E11*454000/365/1000</f>
        <v>2.4876712328767123</v>
      </c>
      <c r="J39" s="6" t="s">
        <v>49</v>
      </c>
      <c r="K39" s="8">
        <f>A39*I39*E39</f>
        <v>3109.5890410958905</v>
      </c>
      <c r="L39" s="9" t="s">
        <v>38</v>
      </c>
    </row>
    <row r="40" spans="1:13" x14ac:dyDescent="0.25">
      <c r="A40" t="s">
        <v>50</v>
      </c>
    </row>
    <row r="41" spans="1:13" x14ac:dyDescent="0.25">
      <c r="A41" s="3">
        <f>C29</f>
        <v>27600</v>
      </c>
      <c r="B41" s="6" t="s">
        <v>51</v>
      </c>
      <c r="C41">
        <f>E23/12/365</f>
        <v>3.8812785388127858E-3</v>
      </c>
      <c r="D41" s="6" t="s">
        <v>43</v>
      </c>
      <c r="E41">
        <v>28.32</v>
      </c>
      <c r="F41" s="6" t="s">
        <v>44</v>
      </c>
      <c r="G41" s="8">
        <f>A41*C41*E41</f>
        <v>3033.7315068493153</v>
      </c>
      <c r="H41" s="9" t="s">
        <v>54</v>
      </c>
      <c r="K41" s="8"/>
      <c r="L41" s="9"/>
    </row>
    <row r="42" spans="1:13" x14ac:dyDescent="0.25">
      <c r="A42" s="3" t="s">
        <v>57</v>
      </c>
      <c r="B42" s="6"/>
      <c r="D42" s="6"/>
      <c r="F42" s="6"/>
      <c r="G42" s="8"/>
      <c r="H42" s="9"/>
      <c r="K42" s="8"/>
      <c r="L42" s="9"/>
    </row>
    <row r="43" spans="1:13" x14ac:dyDescent="0.25">
      <c r="A43" s="3" t="s">
        <v>58</v>
      </c>
      <c r="B43" s="15"/>
      <c r="C43" s="7">
        <f>G36+G37+G41</f>
        <v>4456.1972602739734</v>
      </c>
      <c r="D43" s="9" t="s">
        <v>54</v>
      </c>
      <c r="E43" s="14">
        <f>E13</f>
        <v>0.05</v>
      </c>
      <c r="F43" s="6" t="s">
        <v>3</v>
      </c>
      <c r="G43" s="8"/>
      <c r="H43" s="9"/>
      <c r="K43" s="8">
        <f>C43*E43</f>
        <v>222.80986301369867</v>
      </c>
      <c r="L43" s="9" t="s">
        <v>38</v>
      </c>
    </row>
    <row r="44" spans="1:13" x14ac:dyDescent="0.25">
      <c r="A44" t="s">
        <v>53</v>
      </c>
    </row>
    <row r="45" spans="1:13" x14ac:dyDescent="0.25">
      <c r="A45" t="s">
        <v>55</v>
      </c>
      <c r="C45" s="7">
        <f>G32+G36+G37+G41</f>
        <v>6537.9472602739734</v>
      </c>
      <c r="D45" t="s">
        <v>54</v>
      </c>
      <c r="E45" s="7">
        <f>K32+K36+K37+K39+K43</f>
        <v>77842.416027397267</v>
      </c>
      <c r="F45" s="9" t="s">
        <v>38</v>
      </c>
      <c r="G45" s="10">
        <f>E45/C45</f>
        <v>11.906247164210876</v>
      </c>
      <c r="H45" s="11" t="s">
        <v>3</v>
      </c>
    </row>
    <row r="46" spans="1:13" x14ac:dyDescent="0.25">
      <c r="A46" t="s">
        <v>39</v>
      </c>
      <c r="C46" s="7">
        <f>G34+G36+G37+G41</f>
        <v>5080.722260273973</v>
      </c>
      <c r="D46" t="s">
        <v>54</v>
      </c>
      <c r="E46" s="7">
        <f>K34+K36+K37+K39+K43</f>
        <v>26839.541027397259</v>
      </c>
      <c r="F46" s="9" t="s">
        <v>38</v>
      </c>
      <c r="G46" s="10">
        <f>E46/C46</f>
        <v>5.2826231493216795</v>
      </c>
      <c r="H46" s="11" t="s">
        <v>3</v>
      </c>
    </row>
    <row r="47" spans="1:13" ht="18.75" x14ac:dyDescent="0.3">
      <c r="A47" s="13" t="s">
        <v>56</v>
      </c>
      <c r="G47" s="12">
        <f>AVERAGE(G45:G46)</f>
        <v>8.5944351567662771</v>
      </c>
      <c r="H47" s="13" t="s">
        <v>3</v>
      </c>
      <c r="M47" t="s">
        <v>81</v>
      </c>
    </row>
  </sheetData>
  <sortState ref="L19:O33">
    <sortCondition ref="N19:N33"/>
  </sortState>
  <pageMargins left="0.7" right="0.7" top="0.75" bottom="0.75" header="0.3" footer="0.3"/>
  <pageSetup paperSize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2021-05-19T13:35:28Z</dcterms:modified>
</cp:coreProperties>
</file>